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3" i="7"/>
  <c r="O13"/>
  <c r="N13"/>
  <c r="M13"/>
  <c r="L13"/>
  <c r="K13"/>
  <c r="J13"/>
  <c r="I13"/>
  <c r="H13"/>
  <c r="P12"/>
  <c r="O12"/>
  <c r="N12"/>
  <c r="M12"/>
  <c r="L12"/>
  <c r="K12"/>
  <c r="J12"/>
  <c r="I12"/>
  <c r="H12"/>
  <c r="F13"/>
  <c r="F12"/>
  <c r="F15"/>
  <c r="B6" i="8" l="1"/>
  <c r="B4"/>
  <c r="B5"/>
  <c r="B3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3"/>
  <c r="M63"/>
  <c r="K63"/>
  <c r="J63"/>
  <c r="I63"/>
  <c r="G63"/>
  <c r="F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3"/>
  <c r="M53"/>
  <c r="K53"/>
  <c r="J53"/>
  <c r="I53"/>
  <c r="G53"/>
  <c r="F53"/>
  <c r="E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N21" l="1"/>
  <c r="J21"/>
  <c r="F21"/>
  <c r="M21"/>
  <c r="I21"/>
  <c r="L21"/>
  <c r="H21"/>
  <c r="K21"/>
  <c r="G21"/>
  <c r="D56"/>
  <c r="L31"/>
  <c r="H31"/>
  <c r="K31"/>
  <c r="G31"/>
  <c r="N31"/>
  <c r="J31"/>
  <c r="F31"/>
  <c r="E31" s="1"/>
  <c r="M31"/>
  <c r="I31"/>
  <c r="J55"/>
  <c r="H53"/>
  <c r="H63"/>
  <c r="D66" s="1"/>
  <c r="D24" i="15"/>
  <c r="C23"/>
  <c r="K65" i="18" l="1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65" i="18" l="1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A5"/>
  <c r="A6"/>
  <c r="C6" s="1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C3" s="1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43" i="8" l="1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I15"/>
  <c r="M15"/>
  <c r="N11"/>
  <c r="L11"/>
  <c r="H11"/>
  <c r="L14"/>
  <c r="K15"/>
  <c r="P11"/>
  <c r="I14"/>
  <c r="H15"/>
  <c r="P15"/>
  <c r="M11"/>
  <c r="K14"/>
  <c r="O14"/>
  <c r="J15"/>
  <c r="N15"/>
  <c r="O11"/>
  <c r="J11"/>
  <c r="H14"/>
  <c r="P14"/>
  <c r="O15"/>
  <c r="K11"/>
  <c r="M14"/>
  <c r="L15"/>
  <c r="I11"/>
  <c r="F14"/>
  <c r="F11"/>
  <c r="M8" i="4"/>
  <c r="M7"/>
  <c r="C5" i="1"/>
  <c r="D6" i="15"/>
  <c r="D6" i="7"/>
  <c r="Q13" l="1"/>
  <c r="Q15"/>
  <c r="Q11"/>
  <c r="Q12"/>
  <c r="Q14"/>
  <c r="C14"/>
  <c r="C12"/>
  <c r="C15"/>
  <c r="C13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<sst xmlns="http://schemas.openxmlformats.org/spreadsheetml/2006/main" count="1356" uniqueCount="668">
  <si>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</si>
  <si>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</si>
  <si>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</si>
  <si>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</si>
  <si>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</si>
  <si>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</si>
  <si>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</si>
  <si>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</si>
  <si>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</si>
  <si>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</si>
  <si>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</si>
  <si>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</si>
  <si>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</si>
  <si>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</si>
  <si>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</si>
  <si>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</si>
  <si>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</si>
  <si>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</si>
  <si>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</si>
  <si>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</si>
  <si>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</si>
  <si>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</si>
  <si>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</si>
  <si>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</si>
  <si>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</si>
  <si>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</si>
  <si>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</si>
  <si>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</si>
  <si>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</si>
  <si>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</si>
  <si>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</si>
  <si>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</si>
  <si>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</si>
  <si>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</si>
  <si>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</si>
  <si>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</si>
  <si>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</si>
  <si>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</si>
  <si>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</si>
  <si>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</si>
  <si>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</si>
  <si>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</si>
  <si>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</si>
  <si>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</si>
  <si>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</si>
  <si>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</si>
  <si>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</si>
  <si>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</si>
  <si>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</si>
  <si>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</si>
  <si>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</si>
  <si>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</si>
  <si>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</si>
  <si>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</si>
  <si>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</si>
  <si>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</si>
  <si>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</si>
  <si>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</si>
  <si>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</si>
  <si>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</si>
  <si>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</si>
  <si>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</si>
  <si>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</si>
  <si>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</si>
  <si>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</si>
  <si>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</si>
  <si>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</si>
  <si>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</si>
  <si>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</si>
  <si>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</si>
  <si>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</si>
  <si>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</si>
  <si>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</si>
  <si>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</si>
  <si>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</si>
  <si>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</si>
  <si>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</si>
  <si>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</si>
  <si>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</si>
  <si>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</si>
  <si>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</si>
  <si>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</si>
  <si>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</si>
  <si>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</si>
  <si>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</si>
  <si>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</si>
  <si>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</si>
  <si>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</si>
  <si>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</si>
  <si>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</si>
  <si>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</si>
  <si>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</si>
  <si>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</si>
  <si>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</si>
  <si>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</si>
  <si>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</si>
  <si>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</si>
  <si>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</si>
  <si>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</si>
  <si>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</si>
  <si>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</si>
  <si>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</si>
  <si>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</si>
  <si>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</si>
  <si>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</si>
  <si>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</si>
  <si>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</si>
  <si>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</si>
  <si>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</si>
  <si>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</si>
  <si>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</si>
  <si>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</si>
  <si>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</si>
  <si>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</si>
  <si>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</si>
  <si>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</si>
  <si>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</si>
  <si>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</si>
  <si>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</si>
  <si>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</si>
  <si>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</si>
  <si>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</si>
  <si>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</si>
  <si>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</si>
  <si>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</si>
  <si>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</si>
  <si>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</si>
  <si>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</si>
  <si>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</si>
  <si>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</si>
  <si>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</si>
  <si>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</si>
  <si>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</si>
  <si>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</si>
  <si>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</si>
  <si>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</si>
  <si>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</si>
  <si>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</si>
  <si>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</si>
  <si>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</si>
  <si>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</si>
  <si>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</si>
  <si>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</si>
  <si>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</si>
  <si>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</si>
  <si>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</si>
  <si>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</si>
  <si>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</si>
  <si>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</si>
  <si>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</si>
  <si>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</si>
  <si>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</si>
  <si>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</si>
  <si>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</si>
  <si>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</si>
  <si>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</si>
  <si>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</si>
  <si>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</si>
  <si>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</si>
  <si>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</si>
  <si>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</si>
  <si>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</si>
  <si>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</si>
  <si>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</si>
  <si>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</si>
  <si>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</si>
  <si>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</si>
  <si>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</si>
  <si>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</si>
  <si>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</si>
  <si>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</si>
  <si>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</si>
  <si>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</si>
  <si>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</si>
  <si>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</si>
  <si>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</si>
  <si>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</si>
  <si>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</si>
  <si>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</si>
  <si>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</si>
  <si>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</si>
  <si>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</si>
  <si>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</si>
  <si>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</si>
  <si>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</si>
  <si>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</si>
  <si>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</si>
  <si>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</si>
  <si>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</si>
  <si>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</si>
  <si>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</si>
  <si>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</si>
  <si>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</si>
  <si>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</si>
  <si>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</si>
  <si>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</si>
  <si>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</si>
  <si>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</si>
  <si>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</si>
  <si>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</si>
  <si>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</si>
  <si>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</si>
  <si>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</si>
  <si>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</si>
  <si>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</si>
  <si>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</si>
  <si>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</si>
  <si>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</si>
  <si>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</si>
  <si>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</si>
  <si>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</si>
  <si>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</si>
  <si>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</si>
  <si>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</si>
  <si>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</si>
  <si>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</si>
  <si>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</si>
  <si>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</si>
  <si>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</si>
  <si>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</si>
  <si>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</si>
  <si>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</si>
  <si>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</si>
  <si>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</si>
  <si>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</si>
  <si>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</si>
  <si>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</si>
  <si>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</si>
  <si>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</si>
  <si>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</si>
  <si>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</si>
  <si>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</si>
  <si>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</si>
  <si>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</si>
  <si>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</si>
  <si>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</si>
  <si>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</si>
  <si>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</si>
  <si>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</si>
  <si>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</si>
  <si>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</si>
  <si>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</si>
  <si>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</si>
  <si>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</si>
  <si>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</si>
  <si>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</si>
  <si>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</si>
  <si>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</si>
  <si>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</si>
  <si>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</si>
  <si>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</si>
  <si>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</si>
  <si>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</si>
  <si>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</si>
  <si>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</si>
  <si>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</si>
  <si>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</si>
  <si>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</si>
  <si>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</si>
  <si>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</si>
  <si>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</si>
  <si>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</si>
  <si>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</si>
  <si>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</si>
  <si>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</si>
  <si>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</si>
  <si>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</si>
  <si>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</si>
  <si>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</si>
  <si>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</si>
  <si>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</si>
  <si>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</si>
  <si>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</si>
  <si>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</si>
  <si>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</si>
  <si>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</si>
  <si>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</si>
  <si>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</si>
  <si>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</si>
  <si>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</si>
  <si>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</si>
  <si>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</si>
  <si>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</si>
  <si>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</si>
  <si>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</si>
  <si>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</si>
  <si>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</si>
  <si>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</si>
  <si>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</si>
  <si>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</si>
  <si>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</si>
  <si>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</si>
  <si>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</si>
  <si>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</si>
  <si>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</si>
  <si>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</si>
  <si>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</si>
  <si>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</si>
  <si>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</si>
  <si>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</si>
  <si>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</si>
  <si>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</si>
  <si>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</si>
  <si>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</si>
  <si>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</si>
  <si>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</si>
  <si>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</si>
  <si>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</si>
  <si>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</si>
  <si>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</si>
  <si>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</si>
  <si>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</si>
  <si>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</si>
  <si>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</si>
  <si>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</si>
  <si>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</si>
  <si>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</si>
  <si>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</si>
  <si>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</si>
  <si>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</si>
  <si>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</si>
  <si>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</si>
  <si>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</si>
  <si>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</si>
  <si>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</si>
  <si>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</si>
  <si>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</si>
  <si>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</si>
  <si>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</si>
  <si>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</si>
  <si>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</si>
  <si>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</si>
  <si>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</si>
  <si>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</si>
  <si>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</si>
  <si>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</si>
  <si>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</si>
  <si>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</si>
  <si>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</si>
  <si>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</si>
  <si>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</si>
  <si>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</si>
  <si>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</si>
  <si>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</si>
  <si>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</si>
  <si>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</si>
  <si>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</si>
  <si>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</si>
  <si>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</si>
  <si>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</si>
  <si>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</si>
  <si>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</si>
  <si>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</si>
  <si>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</si>
  <si>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</si>
  <si>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</si>
  <si>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</si>
  <si>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</si>
  <si>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</si>
  <si>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</si>
  <si>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</si>
  <si>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</si>
  <si>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</si>
  <si>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</si>
  <si>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</si>
  <si>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</si>
  <si>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</si>
  <si>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</si>
  <si>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</si>
  <si>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</si>
  <si>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</si>
  <si>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</si>
  <si>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</si>
  <si>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</si>
  <si>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</si>
  <si>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</si>
  <si>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</si>
  <si>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</si>
  <si>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</si>
  <si>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</si>
  <si>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</si>
  <si>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</si>
  <si>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</si>
  <si>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</si>
  <si>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</si>
  <si>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</si>
  <si>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</si>
  <si>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</si>
  <si>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</si>
  <si>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</si>
  <si>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</si>
  <si>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</si>
  <si>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</si>
  <si>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</si>
  <si>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</si>
  <si>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</si>
  <si>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</si>
  <si>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</si>
  <si>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</si>
  <si>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</si>
  <si>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</si>
  <si>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</si>
  <si>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</si>
  <si>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</si>
  <si>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</si>
  <si>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</si>
  <si>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</si>
  <si>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</si>
  <si>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</si>
  <si>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</si>
  <si>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</si>
  <si>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</si>
  <si>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</si>
  <si>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</si>
  <si>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</si>
  <si>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</si>
  <si>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</si>
  <si>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</si>
  <si>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</si>
  <si>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</si>
  <si>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</si>
  <si>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</si>
  <si>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</si>
  <si>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</si>
  <si>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</si>
  <si>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</si>
  <si>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</si>
  <si>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</si>
  <si>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</si>
  <si>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</si>
  <si>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</si>
  <si>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</si>
  <si>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</si>
  <si>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</si>
  <si>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</si>
  <si>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</si>
  <si>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</si>
  <si>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</si>
  <si>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</si>
  <si>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</si>
  <si>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</si>
  <si>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</si>
  <si>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</si>
  <si>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</si>
  <si>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</si>
  <si>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</si>
  <si>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</si>
  <si>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</si>
  <si>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</si>
  <si>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</si>
  <si>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</si>
  <si>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</si>
  <si>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</si>
  <si>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</si>
  <si>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</si>
  <si>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</si>
  <si>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</si>
  <si>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</si>
  <si>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</si>
  <si>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</si>
  <si>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</si>
  <si>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</si>
  <si>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</si>
  <si>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</si>
  <si>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</si>
  <si>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</si>
  <si>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</si>
  <si>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</si>
  <si>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</si>
  <si>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</si>
  <si>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</si>
  <si>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</si>
  <si>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</si>
  <si>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</si>
  <si>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</si>
  <si>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</si>
  <si>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</si>
  <si>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</si>
  <si>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</si>
  <si>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</si>
  <si>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</si>
  <si>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</si>
  <si>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</si>
  <si>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</si>
  <si>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</si>
  <si>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</si>
  <si>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</si>
  <si>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</si>
  <si>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</si>
  <si>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</si>
  <si>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</si>
  <si>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</si>
  <si>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</si>
  <si>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</si>
  <si>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</si>
  <si>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</si>
  <si>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</si>
  <si>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</si>
  <si>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</si>
  <si>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</si>
  <si>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</si>
  <si>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</si>
  <si>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</si>
  <si>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</si>
  <si>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</si>
  <si>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</si>
  <si>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</si>
  <si>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</si>
  <si>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</si>
  <si>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</si>
  <si>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</si>
  <si>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</si>
  <si>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</si>
  <si>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</si>
  <si>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</si>
  <si>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</si>
  <si>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</si>
  <si>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</si>
  <si>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</si>
  <si>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</si>
  <si>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</si>
  <si>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</si>
  <si>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</si>
  <si>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</si>
  <si>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</si>
  <si>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</si>
  <si>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</si>
  <si>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</si>
  <si>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</si>
  <si>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</si>
  <si>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</si>
  <si>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</si>
  <si>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</si>
  <si>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</si>
  <si>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</si>
  <si>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</si>
  <si>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</si>
  <si>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</si>
  <si>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</si>
  <si>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</si>
  <si>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</si>
  <si>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</si>
  <si>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</si>
  <si>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</si>
  <si>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</si>
  <si>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</si>
  <si>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</si>
  <si>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</si>
  <si>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</si>
  <si>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</si>
  <si>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</si>
  <si>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</si>
  <si>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</si>
  <si>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</si>
  <si>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</si>
  <si>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</si>
  <si>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</si>
  <si>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</si>
  <si>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</si>
  <si>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</si>
  <si>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</si>
  <si>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</si>
  <si>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</si>
  <si>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</si>
  <si>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</si>
  <si>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</si>
  <si>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</si>
  <si>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</si>
  <si>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</si>
  <si>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</si>
  <si>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</si>
  <si>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</si>
  <si>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</si>
  <si>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</si>
  <si>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</si>
  <si>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</si>
  <si>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</si>
  <si>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</si>
  <si>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</si>
  <si>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</si>
  <si>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</si>
  <si>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</si>
  <si>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</si>
  <si>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</si>
  <si>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</si>
  <si>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</si>
  <si>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</si>
  <si>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</si>
  <si>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</si>
  <si>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</si>
  <si>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</si>
  <si>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</si>
  <si>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</si>
  <si>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</si>
  <si>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</si>
  <si>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</si>
  <si>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</si>
  <si>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</si>
  <si>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</si>
  <si>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</si>
  <si>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</si>
  <si>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</si>
  <si>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</si>
  <si>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</si>
  <si>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</si>
  <si>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</si>
  <si>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</si>
  <si>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</si>
  <si>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</si>
  <si>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</si>
  <si>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</si>
  <si>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</si>
  <si>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</si>
  <si>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</si>
  <si>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</si>
  <si>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</si>
  <si>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</si>
  <si>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</si>
  <si>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</si>
  <si>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</si>
  <si>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</si>
  <si>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</si>
  <si>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</si>
  <si>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</si>
  <si>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</si>
  <si>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</si>
  <si>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</si>
  <si>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</si>
  <si>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</si>
  <si>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</si>
  <si>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</si>
  <si>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</si>
  <si>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</si>
  <si>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</si>
  <si>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</si>
  <si>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</si>
  <si>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</si>
  <si>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</si>
  <si>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</si>
  <si>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</si>
  <si>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</si>
  <si>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</si>
  <si>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</si>
  <si>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</si>
  <si>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</si>
  <si>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</si>
  <si>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</si>
  <si>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</si>
  <si>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</si>
  <si>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</si>
  <si>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</si>
  <si>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</si>
  <si>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</si>
  <si>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</si>
  <si>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</si>
  <si>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</si>
  <si>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</si>
  <si>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</si>
  <si>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Bad Brücknau</t>
  </si>
  <si>
    <t>Bad Brückenau</t>
  </si>
  <si>
    <t>Stadtwerke Bad Brückenau GmbH</t>
  </si>
  <si>
    <t>Wiesenstraße 2</t>
  </si>
  <si>
    <t>NCHN007003690000</t>
  </si>
  <si>
    <t>Bad Kissingen</t>
  </si>
  <si>
    <t>DE_GHD04</t>
  </si>
  <si>
    <t>EDM-Team</t>
  </si>
  <si>
    <t>edmsupport@cu-rz.de</t>
  </si>
  <si>
    <t>06021/45318-51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</si>
</sst>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73" borderId="43" xfId="0" applyFill="1" applyBorder="1" applyAlignment="1" applyProtection="1">
      <alignment horizontal="center" vertic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8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507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42">
        <v>9870036900008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97769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5" t="s">
        <v>397</v>
      </c>
      <c r="E27" s="39"/>
      <c r="F27" s="11"/>
    </row>
    <row r="28" spans="1:15">
      <c r="B28" s="15"/>
      <c r="C28" s="66" t="s">
        <v>506</v>
      </c>
      <c r="D28" s="48" t="str">
        <f>IF(D27&lt;&gt;C28,VLOOKUP(D27,$C$29:$D$48,2,FALSE),C28)</f>
        <v>Stadtwerke Bad Brücknau</v>
      </c>
      <c r="E28" s="38"/>
      <c r="F28" s="11"/>
      <c r="G28" s="2"/>
    </row>
    <row r="29" spans="1:15">
      <c r="B29" s="15"/>
      <c r="C29" s="22" t="s">
        <v>397</v>
      </c>
      <c r="D29" s="45" t="s">
        <v>658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5" priority="3">
      <formula>IF(CELL("Zeile",D29)&lt;$D$25+CELL("Zeile",$D$29),1,0)</formula>
    </cfRule>
  </conditionalFormatting>
  <conditionalFormatting sqref="D30:D48">
    <cfRule type="expression" dxfId="54" priority="2">
      <formula>IF(CELL(D30)&lt;$D$27+27,1,0)</formula>
    </cfRule>
  </conditionalFormatting>
  <conditionalFormatting sqref="D27">
    <cfRule type="expression" dxfId="53" priority="1">
      <formula>IF(CELL("Zeile",D27)&lt;$D$25+CELL("Zeile",$D$29),1,0)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18" sqref="D1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Bad Brückenau GmbH</v>
      </c>
      <c r="H5" s="68"/>
      <c r="I5" s="68"/>
      <c r="J5" s="68"/>
      <c r="K5" s="68"/>
    </row>
    <row r="6" spans="2:15" ht="15" customHeight="1">
      <c r="B6" s="22"/>
      <c r="C6" s="62" t="s">
        <v>448</v>
      </c>
      <c r="D6" s="58" t="str">
        <f>Netzbetreiber!D28</f>
        <v>Stadtwerke Bad Brücknau</v>
      </c>
      <c r="E6" s="15"/>
      <c r="H6" s="68"/>
      <c r="I6" s="68"/>
      <c r="J6" s="68"/>
      <c r="K6" s="68"/>
    </row>
    <row r="7" spans="2:15" ht="15" customHeight="1">
      <c r="B7" s="22"/>
      <c r="C7" s="60" t="s">
        <v>492</v>
      </c>
      <c r="D7" s="61">
        <f>Netzbetreiber!$D$11</f>
        <v>9870036900008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76" t="s">
        <v>257</v>
      </c>
      <c r="I11" s="276" t="s">
        <v>260</v>
      </c>
      <c r="J11" s="276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622</v>
      </c>
      <c r="D13" s="33" t="s">
        <v>623</v>
      </c>
      <c r="E13" s="15"/>
      <c r="H13" s="276" t="s">
        <v>623</v>
      </c>
      <c r="I13" s="276" t="s">
        <v>624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434</v>
      </c>
      <c r="D15" s="42" t="s">
        <v>662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433</v>
      </c>
      <c r="D16" s="42" t="s">
        <v>432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582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620</v>
      </c>
      <c r="D22" s="49" t="s">
        <v>616</v>
      </c>
      <c r="E22" s="15"/>
      <c r="H22" s="272" t="s">
        <v>616</v>
      </c>
      <c r="I22" s="272" t="s">
        <v>617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72" t="s">
        <v>619</v>
      </c>
      <c r="I23" s="8" t="s">
        <v>615</v>
      </c>
      <c r="J23" s="8"/>
      <c r="K23" s="8"/>
      <c r="L23" s="273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2" t="s">
        <v>618</v>
      </c>
      <c r="I24" s="272" t="s">
        <v>625</v>
      </c>
      <c r="J24" s="8"/>
      <c r="K24" s="8"/>
      <c r="L24" s="275" t="s">
        <v>626</v>
      </c>
      <c r="M24" s="275" t="s">
        <v>628</v>
      </c>
      <c r="N24" s="275" t="s">
        <v>627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585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629</v>
      </c>
      <c r="D27" s="42" t="s">
        <v>630</v>
      </c>
      <c r="E27" s="15"/>
      <c r="H27" s="308" t="s">
        <v>630</v>
      </c>
      <c r="I27" s="274" t="s">
        <v>631</v>
      </c>
      <c r="J27" s="274" t="s">
        <v>632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633</v>
      </c>
      <c r="I28" s="275" t="s">
        <v>634</v>
      </c>
      <c r="J28" s="275" t="s">
        <v>635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636</v>
      </c>
      <c r="I29" s="275" t="s">
        <v>637</v>
      </c>
      <c r="J29" s="275" t="s">
        <v>638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584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639</v>
      </c>
      <c r="I32" s="275" t="s">
        <v>640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641</v>
      </c>
      <c r="I33" s="272" t="s">
        <v>636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556</v>
      </c>
      <c r="C35" s="24" t="s">
        <v>500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557</v>
      </c>
      <c r="C37" s="5" t="s">
        <v>367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558</v>
      </c>
      <c r="C40" s="5" t="s">
        <v>368</v>
      </c>
      <c r="D40" s="36">
        <v>500</v>
      </c>
      <c r="E40" s="15" t="s">
        <v>548</v>
      </c>
      <c r="H40" s="68"/>
      <c r="I40" s="68"/>
      <c r="J40" s="68"/>
      <c r="K40" s="68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547</v>
      </c>
    </row>
    <row r="44" spans="2:39" ht="18" customHeight="1">
      <c r="C44" s="3" t="s">
        <v>549</v>
      </c>
    </row>
    <row r="45" spans="2:39" ht="18" customHeight="1">
      <c r="C45" s="3"/>
    </row>
    <row r="46" spans="2:39" ht="15" customHeight="1">
      <c r="B46" s="22" t="s">
        <v>559</v>
      </c>
      <c r="C46" s="60" t="s">
        <v>583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593</v>
      </c>
      <c r="D48" s="45" t="s">
        <v>663</v>
      </c>
    </row>
    <row r="49" spans="3:4" ht="18" customHeight="1">
      <c r="C49" s="22" t="s">
        <v>594</v>
      </c>
      <c r="D49" s="45"/>
    </row>
    <row r="50" spans="3:4" ht="18" customHeight="1">
      <c r="C50" s="22" t="s">
        <v>595</v>
      </c>
      <c r="D50" s="45"/>
    </row>
    <row r="51" spans="3:4" ht="18" customHeight="1">
      <c r="C51" s="22" t="s">
        <v>596</v>
      </c>
      <c r="D51" s="45"/>
    </row>
    <row r="52" spans="3:4" ht="18" customHeight="1">
      <c r="C52" s="22" t="s">
        <v>597</v>
      </c>
      <c r="D52" s="45"/>
    </row>
    <row r="53" spans="3:4" ht="18" customHeight="1">
      <c r="C53" s="22" t="s">
        <v>598</v>
      </c>
      <c r="D53" s="45"/>
    </row>
    <row r="54" spans="3:4" ht="18" customHeight="1">
      <c r="C54" s="22" t="s">
        <v>599</v>
      </c>
      <c r="D54" s="45"/>
    </row>
    <row r="55" spans="3:4" ht="18" customHeight="1">
      <c r="C55" s="22" t="s">
        <v>600</v>
      </c>
      <c r="D55" s="45"/>
    </row>
    <row r="56" spans="3:4" ht="18" customHeight="1">
      <c r="C56" s="22" t="s">
        <v>601</v>
      </c>
      <c r="D56" s="45"/>
    </row>
    <row r="57" spans="3:4" ht="18" customHeight="1">
      <c r="C57" s="22" t="s">
        <v>602</v>
      </c>
      <c r="D57" s="45"/>
    </row>
    <row r="58" spans="3:4" ht="18" customHeight="1">
      <c r="C58" s="22" t="s">
        <v>603</v>
      </c>
      <c r="D58" s="45"/>
    </row>
    <row r="59" spans="3:4" ht="18" customHeight="1">
      <c r="C59" s="22" t="s">
        <v>604</v>
      </c>
      <c r="D59" s="45"/>
    </row>
    <row r="60" spans="3:4" ht="18" customHeight="1">
      <c r="C60" s="22" t="s">
        <v>605</v>
      </c>
      <c r="D60" s="45"/>
    </row>
    <row r="61" spans="3:4" ht="18" customHeight="1">
      <c r="C61" s="22" t="s">
        <v>606</v>
      </c>
      <c r="D61" s="45"/>
    </row>
    <row r="62" spans="3:4" ht="18" customHeight="1">
      <c r="C62" s="22" t="s">
        <v>607</v>
      </c>
      <c r="D62" s="45"/>
    </row>
  </sheetData>
  <sheetProtection sheet="1" objects="1" scenarios="1"/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E4" sqref="E4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Bad Brücknau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1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 t="str">
        <f>INDEX('SLP-Verfahren'!D48:D62,'SLP-Temp-Gebiet #01'!F10)</f>
        <v>Bad Kissingen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0" t="s">
        <v>591</v>
      </c>
      <c r="D13" s="340"/>
      <c r="E13" s="340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1" t="s">
        <v>452</v>
      </c>
      <c r="D14" s="341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1" t="s">
        <v>389</v>
      </c>
      <c r="D15" s="341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509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339" t="s">
        <v>663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>
        <v>10658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Bad Kissingen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>
        <f>E25</f>
        <v>10658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">
        <v>3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142</v>
      </c>
    </row>
    <row r="71" spans="2:15"/>
    <row r="72" spans="2:15" ht="15.75" customHeight="1">
      <c r="C72" s="342" t="s">
        <v>587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6 E36 F26:N26 E56:N60 E22:F22 I22:N22 F52 F62 G24:N24 G70:N70 E34:N34 E69:N69 F25:N25 H32:N32 H33:N33 G36:N36 E68:N68 F67:N67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551</v>
      </c>
    </row>
    <row r="3" spans="1:56" ht="15" customHeight="1">
      <c r="B3" s="171"/>
    </row>
    <row r="4" spans="1:56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>
      <c r="B5" s="131"/>
      <c r="C5" s="56" t="s">
        <v>448</v>
      </c>
      <c r="D5" s="57"/>
      <c r="E5" s="58" t="str">
        <f>Netzbetreiber!D28</f>
        <v>Stadtwerke Bad Brücknau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529</v>
      </c>
      <c r="D9" s="131"/>
      <c r="E9" s="131"/>
      <c r="F9" s="155">
        <f>'SLP-Verfahren'!D46</f>
        <v>1</v>
      </c>
      <c r="H9" s="172" t="s">
        <v>608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592</v>
      </c>
      <c r="D10" s="131"/>
      <c r="E10" s="131"/>
      <c r="F10" s="299">
        <v>2</v>
      </c>
      <c r="G10" s="57"/>
      <c r="H10" s="172" t="s">
        <v>609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610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0" t="s">
        <v>591</v>
      </c>
      <c r="D13" s="340"/>
      <c r="E13" s="340"/>
      <c r="F13" s="183" t="s">
        <v>555</v>
      </c>
      <c r="G13" s="131" t="s">
        <v>553</v>
      </c>
      <c r="H13" s="265" t="s">
        <v>570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1" t="s">
        <v>452</v>
      </c>
      <c r="D14" s="341"/>
      <c r="E14" s="90" t="s">
        <v>453</v>
      </c>
      <c r="F14" s="266" t="s">
        <v>85</v>
      </c>
      <c r="G14" s="267" t="s">
        <v>579</v>
      </c>
      <c r="H14" s="51">
        <v>0</v>
      </c>
      <c r="I14" s="57"/>
      <c r="J14" s="131"/>
      <c r="K14" s="131"/>
      <c r="L14" s="131"/>
      <c r="M14" s="131"/>
      <c r="N14" s="131"/>
      <c r="O14" s="173" t="s">
        <v>534</v>
      </c>
      <c r="R14" s="209" t="s">
        <v>571</v>
      </c>
      <c r="S14" s="209" t="s">
        <v>572</v>
      </c>
      <c r="T14" s="209" t="s">
        <v>573</v>
      </c>
      <c r="U14" s="209" t="s">
        <v>574</v>
      </c>
      <c r="V14" s="209" t="s">
        <v>554</v>
      </c>
      <c r="W14" s="209" t="s">
        <v>575</v>
      </c>
      <c r="X14" s="209" t="s">
        <v>576</v>
      </c>
      <c r="Y14" s="209" t="s">
        <v>577</v>
      </c>
      <c r="Z14" s="209" t="s">
        <v>578</v>
      </c>
      <c r="AA14" s="209" t="s">
        <v>579</v>
      </c>
      <c r="AB14" s="209" t="s">
        <v>580</v>
      </c>
      <c r="AC14" s="209" t="s">
        <v>581</v>
      </c>
    </row>
    <row r="15" spans="1:56" ht="19.5" customHeight="1">
      <c r="B15" s="131"/>
      <c r="C15" s="341" t="s">
        <v>389</v>
      </c>
      <c r="D15" s="341"/>
      <c r="E15" s="90" t="s">
        <v>453</v>
      </c>
      <c r="F15" s="266" t="s">
        <v>71</v>
      </c>
      <c r="G15" s="267" t="s">
        <v>573</v>
      </c>
      <c r="H15" s="51">
        <v>0</v>
      </c>
      <c r="I15" s="57"/>
      <c r="J15" s="131"/>
      <c r="K15" s="131"/>
      <c r="L15" s="131"/>
      <c r="M15" s="131"/>
      <c r="N15" s="131"/>
      <c r="O15" s="162" t="s">
        <v>535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372</v>
      </c>
      <c r="AH15" s="264" t="s">
        <v>498</v>
      </c>
      <c r="AI15" s="264" t="s">
        <v>556</v>
      </c>
      <c r="AJ15" s="264" t="s">
        <v>557</v>
      </c>
      <c r="AK15" s="264" t="s">
        <v>558</v>
      </c>
      <c r="AL15" s="264" t="s">
        <v>559</v>
      </c>
      <c r="AM15" s="264" t="s">
        <v>560</v>
      </c>
      <c r="AN15" s="264" t="s">
        <v>561</v>
      </c>
      <c r="AO15" s="264" t="s">
        <v>562</v>
      </c>
      <c r="AP15" s="264" t="s">
        <v>563</v>
      </c>
      <c r="AQ15" s="264" t="s">
        <v>564</v>
      </c>
      <c r="AR15" s="264" t="s">
        <v>565</v>
      </c>
      <c r="AS15" s="264" t="s">
        <v>566</v>
      </c>
      <c r="AT15" s="264" t="s">
        <v>567</v>
      </c>
      <c r="AU15" s="264" t="s">
        <v>568</v>
      </c>
      <c r="AV15" s="264" t="s">
        <v>569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524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530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525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532</v>
      </c>
      <c r="D21" s="154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544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137</v>
      </c>
      <c r="D23" s="188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5" t="s">
        <v>142</v>
      </c>
      <c r="Q23" s="211"/>
      <c r="R23" s="68" t="s">
        <v>139</v>
      </c>
      <c r="S23" s="68" t="s">
        <v>509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527</v>
      </c>
      <c r="D24" s="188"/>
      <c r="E24" s="157" t="s">
        <v>588</v>
      </c>
      <c r="F24" s="157" t="s">
        <v>589</v>
      </c>
      <c r="G24" s="157"/>
      <c r="H24" s="157"/>
      <c r="I24" s="157"/>
      <c r="J24" s="157"/>
      <c r="K24" s="157"/>
      <c r="L24" s="157"/>
      <c r="M24" s="157"/>
      <c r="N24" s="157"/>
      <c r="O24" s="185" t="s">
        <v>528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521</v>
      </c>
      <c r="D25" s="188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5" t="s">
        <v>143</v>
      </c>
      <c r="Q25" s="21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141</v>
      </c>
      <c r="D26" s="188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5" t="s">
        <v>142</v>
      </c>
      <c r="Q26" s="211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526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533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540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145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5" t="s">
        <v>142</v>
      </c>
      <c r="Q33" s="211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3"/>
      <c r="C34" s="187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5" t="s">
        <v>142</v>
      </c>
      <c r="Q34" s="211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612</v>
      </c>
      <c r="D35" s="154" t="s">
        <v>613</v>
      </c>
      <c r="E35" s="157" t="s">
        <v>611</v>
      </c>
      <c r="F35" s="157" t="s">
        <v>611</v>
      </c>
      <c r="G35" s="157" t="s">
        <v>611</v>
      </c>
      <c r="H35" s="157" t="s">
        <v>611</v>
      </c>
      <c r="I35" s="157" t="s">
        <v>611</v>
      </c>
      <c r="J35" s="157" t="s">
        <v>611</v>
      </c>
      <c r="K35" s="157" t="s">
        <v>611</v>
      </c>
      <c r="L35" s="157" t="s">
        <v>611</v>
      </c>
      <c r="M35" s="157" t="s">
        <v>611</v>
      </c>
      <c r="N35" s="157" t="s">
        <v>611</v>
      </c>
      <c r="O35" s="185" t="s">
        <v>142</v>
      </c>
      <c r="Q35" s="211"/>
      <c r="R35" s="68" t="s">
        <v>611</v>
      </c>
      <c r="S35" s="68" t="s">
        <v>614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447</v>
      </c>
      <c r="D36" s="120" t="s">
        <v>545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5" t="s">
        <v>142</v>
      </c>
      <c r="Q36" s="211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538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539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537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543</v>
      </c>
      <c r="D46" s="201" t="s">
        <v>541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541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586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550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525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532</v>
      </c>
      <c r="D55" s="154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544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137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142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527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528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521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143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141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526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533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540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142</v>
      </c>
    </row>
    <row r="68" spans="2:15">
      <c r="B68" s="183"/>
      <c r="C68" s="187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142</v>
      </c>
    </row>
    <row r="69" spans="2:15">
      <c r="B69" s="183"/>
      <c r="C69" s="187" t="s">
        <v>612</v>
      </c>
      <c r="D69" s="154" t="s">
        <v>613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20" t="s">
        <v>545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142</v>
      </c>
    </row>
    <row r="71" spans="2:15"/>
    <row r="72" spans="2:15" ht="15.75" customHeight="1">
      <c r="C72" s="342" t="s">
        <v>587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D15" sqref="A15:XFD1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Bad Brückenau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Stadtwerke Bad Brücknau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492</v>
      </c>
      <c r="D7" s="54">
        <f>Netzbetreiber!$D$11</f>
        <v>9870036900008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499</v>
      </c>
      <c r="D10" s="135" t="s">
        <v>147</v>
      </c>
      <c r="E10" s="277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642</v>
      </c>
      <c r="M10" s="151" t="s">
        <v>651</v>
      </c>
      <c r="N10" s="152" t="s">
        <v>652</v>
      </c>
      <c r="O10" s="152" t="s">
        <v>653</v>
      </c>
      <c r="P10" s="153" t="s">
        <v>654</v>
      </c>
      <c r="Q10" s="147" t="s">
        <v>643</v>
      </c>
      <c r="R10" s="137" t="s">
        <v>644</v>
      </c>
      <c r="S10" s="138" t="s">
        <v>645</v>
      </c>
      <c r="T10" s="138" t="s">
        <v>646</v>
      </c>
      <c r="U10" s="138" t="s">
        <v>647</v>
      </c>
      <c r="V10" s="138" t="s">
        <v>648</v>
      </c>
      <c r="W10" s="138" t="s">
        <v>649</v>
      </c>
      <c r="X10" s="139" t="s">
        <v>650</v>
      </c>
      <c r="Y10" s="305" t="s">
        <v>655</v>
      </c>
    </row>
    <row r="11" spans="2:26" ht="15.75" thickBot="1">
      <c r="B11" s="140" t="s">
        <v>501</v>
      </c>
      <c r="C11" s="141" t="s">
        <v>516</v>
      </c>
      <c r="D11" s="304" t="s">
        <v>248</v>
      </c>
      <c r="E11" s="355" t="s">
        <v>523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2">
        <v>1</v>
      </c>
      <c r="C12" s="143" t="str">
        <f t="shared" ref="C12:C15" si="0">$D$6</f>
        <v>Stadtwerke Bad Brücknau</v>
      </c>
      <c r="D12" s="63" t="s">
        <v>248</v>
      </c>
      <c r="E12" s="166" t="s">
        <v>56</v>
      </c>
      <c r="F12" s="307" t="str">
        <f>VLOOKUP($E12,'BDEW-Standard'!$B$3:$M$110,F$9,0)</f>
        <v>G14</v>
      </c>
      <c r="H12" s="278">
        <f>ROUND(VLOOKUP($E12,'BDEW-Standard'!$B$3:$M$110,H$9,0),7)</f>
        <v>3.159294</v>
      </c>
      <c r="I12" s="278">
        <f>ROUND(VLOOKUP($E12,'BDEW-Standard'!$B$3:$M$110,I$9,0),7)</f>
        <v>-37.406886</v>
      </c>
      <c r="J12" s="278">
        <f>ROUND(VLOOKUP($E12,'BDEW-Standard'!$B$3:$M$110,J$9,0),7)</f>
        <v>6.1418926000000003</v>
      </c>
      <c r="K12" s="278">
        <f>ROUND(VLOOKUP($E12,'BDEW-Standard'!$B$3:$M$110,K$9,0),7)</f>
        <v>7.6563300000000001E-2</v>
      </c>
      <c r="L12" s="279">
        <f>ROUND(VLOOKUP($E12,'BDEW-Standard'!$B$3:$M$110,L$9,0),1)</f>
        <v>40</v>
      </c>
      <c r="M12" s="278">
        <f>ROUND(VLOOKUP($E12,'BDEW-Standard'!$B$3:$M$110,M$9,0),7)</f>
        <v>0</v>
      </c>
      <c r="N12" s="278">
        <f>ROUND(VLOOKUP($E12,'BDEW-Standard'!$B$3:$M$110,N$9,0),7)</f>
        <v>0</v>
      </c>
      <c r="O12" s="278">
        <f>ROUND(VLOOKUP($E12,'BDEW-Standard'!$B$3:$M$110,O$9,0),7)</f>
        <v>0</v>
      </c>
      <c r="P12" s="278">
        <f>ROUND(VLOOKUP($E12,'BDEW-Standard'!$B$3:$M$110,P$9,0),7)</f>
        <v>0</v>
      </c>
      <c r="Q12" s="280">
        <f t="shared" ref="Q12:Q15" si="1">($H12/(1+($I12/($Q$9-$L12))^$J12)+$K12)+MAX($M12*$Q$9+$N12,$O12*$Q$9+$P12)</f>
        <v>0.95202070224521151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Stadtwerke Bad Brücknau</v>
      </c>
      <c r="D13" s="63" t="s">
        <v>248</v>
      </c>
      <c r="E13" s="166" t="s">
        <v>66</v>
      </c>
      <c r="F13" s="307" t="str">
        <f>VLOOKUP($E13,'BDEW-Standard'!$B$3:$M$110,F$9,0)</f>
        <v>G24</v>
      </c>
      <c r="H13" s="278">
        <f>ROUND(VLOOKUP($E13,'BDEW-Standard'!$B$3:$M$110,H$9,0),7)</f>
        <v>2.4859160999999999</v>
      </c>
      <c r="I13" s="278">
        <f>ROUND(VLOOKUP($E13,'BDEW-Standard'!$B$3:$M$110,I$9,0),7)</f>
        <v>-35.043597800000001</v>
      </c>
      <c r="J13" s="278">
        <f>ROUND(VLOOKUP($E13,'BDEW-Standard'!$B$3:$M$110,J$9,0),7)</f>
        <v>6.2818214000000001</v>
      </c>
      <c r="K13" s="278">
        <f>ROUND(VLOOKUP($E13,'BDEW-Standard'!$B$3:$M$110,K$9,0),7)</f>
        <v>0.1065396</v>
      </c>
      <c r="L13" s="279">
        <f>ROUND(VLOOKUP($E13,'BDEW-Standard'!$B$3:$M$110,L$9,0),1)</f>
        <v>40</v>
      </c>
      <c r="M13" s="278">
        <f>ROUND(VLOOKUP($E13,'BDEW-Standard'!$B$3:$M$110,M$9,0),7)</f>
        <v>0</v>
      </c>
      <c r="N13" s="278">
        <f>ROUND(VLOOKUP($E13,'BDEW-Standard'!$B$3:$M$110,N$9,0),7)</f>
        <v>0</v>
      </c>
      <c r="O13" s="278">
        <f>ROUND(VLOOKUP($E13,'BDEW-Standard'!$B$3:$M$110,O$9,0),7)</f>
        <v>0</v>
      </c>
      <c r="P13" s="278">
        <f>ROUND(VLOOKUP($E13,'BDEW-Standard'!$B$3:$M$110,P$9,0),7)</f>
        <v>0</v>
      </c>
      <c r="Q13" s="280">
        <f t="shared" si="1"/>
        <v>1.0041152127680664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5" si="2">7-SUM(R13:W13)</f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Stadtwerke Bad Brücknau</v>
      </c>
      <c r="D14" s="63" t="s">
        <v>248</v>
      </c>
      <c r="E14" s="166" t="s">
        <v>664</v>
      </c>
      <c r="F14" s="307" t="str">
        <f>VLOOKUP($E14,'BDEW-Standard'!$B$3:$M$94,F$9,0)</f>
        <v>HD4</v>
      </c>
      <c r="H14" s="278">
        <f>ROUND(VLOOKUP($E14,'BDEW-Standard'!$B$3:$M$94,H$9,0),7)</f>
        <v>3.0084346000000002</v>
      </c>
      <c r="I14" s="278">
        <f>ROUND(VLOOKUP($E14,'BDEW-Standard'!$B$3:$M$94,I$9,0),7)</f>
        <v>-36.607845300000001</v>
      </c>
      <c r="J14" s="278">
        <f>ROUND(VLOOKUP($E14,'BDEW-Standard'!$B$3:$M$94,J$9,0),7)</f>
        <v>7.3211870000000001</v>
      </c>
      <c r="K14" s="278">
        <f>ROUND(VLOOKUP($E14,'BDEW-Standard'!$B$3:$M$94,K$9,0),7)</f>
        <v>0.15496599999999999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0.97302438504000599</v>
      </c>
      <c r="R14" s="281">
        <f>ROUND(VLOOKUP(MID($E14,4,3),'Wochentag F(WT)'!$B$7:$J$22,R$9,0),4)</f>
        <v>1.03</v>
      </c>
      <c r="S14" s="281">
        <f>ROUND(VLOOKUP(MID($E14,4,3),'Wochentag F(WT)'!$B$7:$J$22,S$9,0),4)</f>
        <v>1.03</v>
      </c>
      <c r="T14" s="281">
        <f>ROUND(VLOOKUP(MID($E14,4,3),'Wochentag F(WT)'!$B$7:$J$22,T$9,0),4)</f>
        <v>1.02</v>
      </c>
      <c r="U14" s="281">
        <f>ROUND(VLOOKUP(MID($E14,4,3),'Wochentag F(WT)'!$B$7:$J$22,U$9,0),4)</f>
        <v>1.03</v>
      </c>
      <c r="V14" s="281">
        <f>ROUND(VLOOKUP(MID($E14,4,3),'Wochentag F(WT)'!$B$7:$J$22,V$9,0),4)</f>
        <v>1.01</v>
      </c>
      <c r="W14" s="281">
        <f>ROUND(VLOOKUP(MID($E14,4,3),'Wochentag F(WT)'!$B$7:$J$22,W$9,0),4)</f>
        <v>0.93</v>
      </c>
      <c r="X14" s="282">
        <f t="shared" si="2"/>
        <v>0.95000000000000018</v>
      </c>
      <c r="Y14" s="303"/>
      <c r="Z14" s="212"/>
    </row>
    <row r="15" spans="2:26" s="144" customFormat="1">
      <c r="B15" s="145">
        <v>4</v>
      </c>
      <c r="C15" s="146" t="str">
        <f t="shared" si="0"/>
        <v>Stadtwerke Bad Brücknau</v>
      </c>
      <c r="D15" s="63" t="s">
        <v>248</v>
      </c>
      <c r="E15" s="166" t="s">
        <v>4</v>
      </c>
      <c r="F15" s="307" t="str">
        <f>VLOOKUP($E15,'BDEW-Standard'!$B$3:$M$94,F$9,0)</f>
        <v>HK3</v>
      </c>
      <c r="H15" s="278">
        <f>ROUND(VLOOKUP($E15,'BDEW-Standard'!$B$3:$M$94,H$9,0),7)</f>
        <v>0.40409319999999999</v>
      </c>
      <c r="I15" s="278">
        <f>ROUND(VLOOKUP($E15,'BDEW-Standard'!$B$3:$M$94,I$9,0),7)</f>
        <v>-24.439296800000001</v>
      </c>
      <c r="J15" s="278">
        <f>ROUND(VLOOKUP($E15,'BDEW-Standard'!$B$3:$M$94,J$9,0),7)</f>
        <v>6.5718174999999999</v>
      </c>
      <c r="K15" s="278">
        <f>ROUND(VLOOKUP($E15,'BDEW-Standard'!$B$3:$M$94,K$9,0),7)</f>
        <v>0.71077100000000004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1.0561214000512988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4" customFormat="1">
      <c r="B16" s="145"/>
      <c r="C16" s="146"/>
      <c r="D16" s="63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4" customFormat="1">
      <c r="B17" s="145"/>
      <c r="C17" s="146"/>
      <c r="D17" s="63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4" customFormat="1">
      <c r="B18" s="145"/>
      <c r="C18" s="146"/>
      <c r="D18" s="63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4" customFormat="1">
      <c r="B19" s="145"/>
      <c r="C19" s="146"/>
      <c r="D19" s="63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4" customFormat="1">
      <c r="B20" s="145"/>
      <c r="C20" s="146"/>
      <c r="D20" s="63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4" customFormat="1">
      <c r="B21" s="145"/>
      <c r="C21" s="146"/>
      <c r="D21" s="63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4" customFormat="1">
      <c r="B22" s="145"/>
      <c r="C22" s="146"/>
      <c r="D22" s="63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4" customFormat="1">
      <c r="B23" s="145"/>
      <c r="C23" s="146"/>
      <c r="D23" s="63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4" customFormat="1">
      <c r="B24" s="145"/>
      <c r="C24" s="146"/>
      <c r="D24" s="63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4" customFormat="1">
      <c r="B25" s="145"/>
      <c r="C25" s="146"/>
      <c r="D25" s="63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4" customFormat="1">
      <c r="B26" s="145"/>
      <c r="C26" s="146"/>
      <c r="D26" s="63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4" customFormat="1">
      <c r="B27" s="145"/>
      <c r="C27" s="146"/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/>
      <c r="C28" s="146"/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/>
      <c r="C29" s="146"/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/>
      <c r="C30" s="146"/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/>
      <c r="C31" s="146"/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/>
      <c r="C32" s="146"/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/>
      <c r="C33" s="146"/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/>
      <c r="C34" s="146"/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/>
      <c r="C35" s="146"/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/>
      <c r="C36" s="146"/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/>
      <c r="C37" s="146"/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/>
      <c r="C38" s="146"/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/>
      <c r="C39" s="146"/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/>
      <c r="C40" s="146"/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/>
      <c r="C41" s="146"/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7" priority="9">
      <formula>ISERROR(F11)</formula>
    </cfRule>
  </conditionalFormatting>
  <conditionalFormatting sqref="Y12:Y41 E12:F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B108" sqref="B108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348</v>
      </c>
      <c r="B1" s="216">
        <v>42173</v>
      </c>
      <c r="D1" s="132" t="s">
        <v>458</v>
      </c>
      <c r="F1" s="217" t="s">
        <v>552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5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245</v>
      </c>
      <c r="B96" s="129" t="s">
        <v>55</v>
      </c>
      <c r="C96" s="129" t="s">
        <v>323</v>
      </c>
      <c r="D96" s="235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245</v>
      </c>
      <c r="B97" s="129" t="s">
        <v>60</v>
      </c>
      <c r="C97" s="129" t="s">
        <v>328</v>
      </c>
      <c r="D97" s="235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245</v>
      </c>
      <c r="B98" s="129" t="s">
        <v>65</v>
      </c>
      <c r="C98" s="129" t="s">
        <v>333</v>
      </c>
      <c r="D98" s="235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245</v>
      </c>
      <c r="B99" s="129" t="s">
        <v>18</v>
      </c>
      <c r="C99" s="129" t="s">
        <v>286</v>
      </c>
      <c r="D99" s="235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5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5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5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5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5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5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5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5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5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5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5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5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5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5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5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5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5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5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5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5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5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5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5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5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5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5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5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5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5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5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5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5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5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5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5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5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5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5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5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5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5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5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5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5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5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5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5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5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5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5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5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5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5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5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5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5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5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5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5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F12" sqref="F12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450</v>
      </c>
    </row>
    <row r="3" spans="2:30" ht="15" customHeight="1">
      <c r="B3" s="85"/>
    </row>
    <row r="4" spans="2:30" ht="15" customHeight="1">
      <c r="B4" s="86" t="s">
        <v>449</v>
      </c>
      <c r="C4" s="64" t="str">
        <f>Netzbetreiber!$D$9</f>
        <v>Stadtwerke Bad Brückenau GmbH</v>
      </c>
      <c r="D4" s="77"/>
      <c r="G4" s="77"/>
      <c r="I4" s="77"/>
      <c r="J4" s="78"/>
      <c r="M4" s="87" t="s">
        <v>546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448</v>
      </c>
      <c r="C5" s="65" t="str">
        <f>Netzbetreiber!D28</f>
        <v>Stadtwerke Bad Brücknau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446</v>
      </c>
      <c r="C6" s="64">
        <f>Netzbetreiber!$D$11</f>
        <v>9870036900008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3" t="s">
        <v>462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8" t="s">
        <v>590</v>
      </c>
      <c r="C10" s="349"/>
      <c r="D10" s="95">
        <v>2</v>
      </c>
      <c r="E10" s="96" t="str">
        <f>IF(ISERROR(HLOOKUP(E$11,$M$9:$AD$33,$D10,0)),"",HLOOKUP(E$11,$M$9:$AD$33,$D10,0))</f>
        <v/>
      </c>
      <c r="F10" s="346" t="s">
        <v>399</v>
      </c>
      <c r="G10" s="346"/>
      <c r="H10" s="346"/>
      <c r="I10" s="346"/>
      <c r="J10" s="346"/>
      <c r="K10" s="346"/>
      <c r="L10" s="347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4">
        <f>MIN(SUMPRODUCT($M$11:$AD$11,M12:AD12),1)</f>
        <v>1</v>
      </c>
      <c r="F12" s="311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5">
        <f t="shared" ref="E13:E33" si="0">MIN(SUMPRODUCT($M$11:$AD$11,M13:AD13),1)</f>
        <v>1</v>
      </c>
      <c r="F13" s="312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5">
        <f t="shared" si="0"/>
        <v>0</v>
      </c>
      <c r="F14" s="312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5">
        <f t="shared" si="0"/>
        <v>0</v>
      </c>
      <c r="F15" s="312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5">
        <f t="shared" si="0"/>
        <v>1</v>
      </c>
      <c r="F16" s="312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5">
        <f t="shared" si="0"/>
        <v>1</v>
      </c>
      <c r="F17" s="312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5">
        <f t="shared" si="0"/>
        <v>1</v>
      </c>
      <c r="F18" s="312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5">
        <f t="shared" si="0"/>
        <v>1</v>
      </c>
      <c r="F19" s="312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656</v>
      </c>
      <c r="C20" s="118"/>
      <c r="D20" s="112">
        <v>12</v>
      </c>
      <c r="E20" s="315">
        <f t="shared" si="0"/>
        <v>1</v>
      </c>
      <c r="F20" s="312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5">
        <f t="shared" si="0"/>
        <v>1</v>
      </c>
      <c r="F21" s="312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5">
        <f t="shared" si="0"/>
        <v>1</v>
      </c>
      <c r="F22" s="312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5">
        <f t="shared" si="0"/>
        <v>1</v>
      </c>
      <c r="F23" s="312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5">
        <f t="shared" si="0"/>
        <v>0</v>
      </c>
      <c r="F24" s="312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5">
        <f t="shared" si="0"/>
        <v>1</v>
      </c>
      <c r="F25" s="312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5">
        <f t="shared" si="0"/>
        <v>1</v>
      </c>
      <c r="F26" s="312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5">
        <f t="shared" si="0"/>
        <v>0</v>
      </c>
      <c r="F27" s="312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5">
        <f t="shared" si="0"/>
        <v>1</v>
      </c>
      <c r="F28" s="312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5">
        <f t="shared" si="0"/>
        <v>0</v>
      </c>
      <c r="F29" s="312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5">
        <f t="shared" si="0"/>
        <v>0</v>
      </c>
      <c r="F30" s="312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5">
        <f t="shared" si="0"/>
        <v>1</v>
      </c>
      <c r="F31" s="312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5">
        <f t="shared" si="0"/>
        <v>1</v>
      </c>
      <c r="F32" s="312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6">
        <f t="shared" si="0"/>
        <v>0</v>
      </c>
      <c r="F33" s="313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459</v>
      </c>
      <c r="B1" s="129"/>
      <c r="D1" s="217" t="s">
        <v>552</v>
      </c>
    </row>
    <row r="2" spans="1:16">
      <c r="A2" s="237"/>
      <c r="B2" s="236" t="s">
        <v>460</v>
      </c>
    </row>
    <row r="3" spans="1:16" ht="20.100000000000001" customHeight="1">
      <c r="A3" s="350" t="s">
        <v>249</v>
      </c>
      <c r="B3" s="238" t="s">
        <v>86</v>
      </c>
      <c r="C3" s="239"/>
      <c r="D3" s="352" t="s">
        <v>461</v>
      </c>
      <c r="E3" s="353"/>
      <c r="F3" s="353"/>
      <c r="G3" s="353"/>
      <c r="H3" s="353"/>
      <c r="I3" s="353"/>
      <c r="J3" s="354"/>
      <c r="K3" s="240"/>
      <c r="L3" s="240"/>
      <c r="M3" s="240"/>
      <c r="N3" s="240"/>
      <c r="O3" s="241"/>
      <c r="P3" s="240"/>
    </row>
    <row r="4" spans="1:16" ht="20.100000000000001" customHeight="1">
      <c r="A4" s="351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gol_scheibe</cp:lastModifiedBy>
  <cp:lastPrinted>2015-03-20T22:59:10Z</cp:lastPrinted>
  <dcterms:created xsi:type="dcterms:W3CDTF">2015-01-15T05:25:41Z</dcterms:created>
  <dcterms:modified xsi:type="dcterms:W3CDTF">2015-07-20T12:50:18Z</dcterms:modified>
</cp:coreProperties>
</file>