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3" i="7"/>
  <c r="O13"/>
  <c r="N13"/>
  <c r="M13"/>
  <c r="L13"/>
  <c r="K13"/>
  <c r="J13"/>
  <c r="I13"/>
  <c r="H13"/>
  <c r="F13"/>
  <c r="P12"/>
  <c r="O12"/>
  <c r="N12"/>
  <c r="M12"/>
  <c r="L12"/>
  <c r="K12"/>
  <c r="J12"/>
  <c r="I12"/>
  <c r="H12"/>
  <c r="F12"/>
  <c r="B6" i="8" l="1"/>
  <c r="B4"/>
  <c r="B5"/>
  <c r="B3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3"/>
  <c r="M63"/>
  <c r="K63"/>
  <c r="J63"/>
  <c r="I63"/>
  <c r="G63"/>
  <c r="F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3"/>
  <c r="M53"/>
  <c r="K53"/>
  <c r="J53"/>
  <c r="I53"/>
  <c r="G53"/>
  <c r="F53"/>
  <c r="E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N21" l="1"/>
  <c r="J21"/>
  <c r="F21"/>
  <c r="M21"/>
  <c r="I21"/>
  <c r="L21"/>
  <c r="H21"/>
  <c r="K21"/>
  <c r="G21"/>
  <c r="D56"/>
  <c r="L31"/>
  <c r="H31"/>
  <c r="K31"/>
  <c r="G31"/>
  <c r="N31"/>
  <c r="J31"/>
  <c r="F31"/>
  <c r="E31" s="1"/>
  <c r="M31"/>
  <c r="I31"/>
  <c r="J55"/>
  <c r="H53"/>
  <c r="H63"/>
  <c r="D66" s="1"/>
  <c r="D24" i="15"/>
  <c r="C23"/>
  <c r="K65" i="18" l="1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65" i="18" l="1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A5"/>
  <c r="A6"/>
  <c r="C6" s="1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C3" s="1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43" i="8" l="1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I15"/>
  <c r="M15"/>
  <c r="N11"/>
  <c r="L11"/>
  <c r="H11"/>
  <c r="L14"/>
  <c r="K15"/>
  <c r="P11"/>
  <c r="I14"/>
  <c r="H15"/>
  <c r="P15"/>
  <c r="M11"/>
  <c r="K14"/>
  <c r="O14"/>
  <c r="J15"/>
  <c r="N15"/>
  <c r="O11"/>
  <c r="J11"/>
  <c r="H14"/>
  <c r="P14"/>
  <c r="O15"/>
  <c r="K11"/>
  <c r="M14"/>
  <c r="L15"/>
  <c r="I11"/>
  <c r="F15"/>
  <c r="F14"/>
  <c r="F11"/>
  <c r="M8" i="4"/>
  <c r="M7"/>
  <c r="C5" i="1"/>
  <c r="D6" i="15"/>
  <c r="D6" i="7"/>
  <c r="Q13" l="1"/>
  <c r="Q15"/>
  <c r="Q11"/>
  <c r="Q12"/>
  <c r="Q14"/>
  <c r="C14"/>
  <c r="C12"/>
  <c r="C15"/>
  <c r="C13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<sst xmlns="http://schemas.openxmlformats.org/spreadsheetml/2006/main" count="1355" uniqueCount="667">
  <si>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</si>
  <si>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</si>
  <si>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</si>
  <si>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</si>
  <si>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</si>
  <si>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</si>
  <si>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</si>
  <si>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</si>
  <si>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</si>
  <si>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</si>
  <si>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</si>
  <si>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</si>
  <si>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</si>
  <si>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</si>
  <si>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</si>
  <si>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</si>
  <si>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</si>
  <si>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</si>
  <si>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</si>
  <si>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</si>
  <si>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</si>
  <si>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</si>
  <si>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</si>
  <si>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</si>
  <si>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</si>
  <si>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</si>
  <si>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</si>
  <si>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</si>
  <si>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</si>
  <si>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</si>
  <si>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</si>
  <si>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</si>
  <si>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</si>
  <si>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</si>
  <si>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</si>
  <si>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</si>
  <si>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</si>
  <si>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</si>
  <si>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</si>
  <si>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</si>
  <si>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</si>
  <si>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</si>
  <si>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</si>
  <si>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</si>
  <si>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</si>
  <si>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</si>
  <si>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</si>
  <si>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</si>
  <si>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</si>
  <si>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</si>
  <si>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</si>
  <si>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</si>
  <si>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</si>
  <si>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</si>
  <si>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</si>
  <si>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</si>
  <si>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</si>
  <si>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</si>
  <si>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</si>
  <si>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</si>
  <si>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</si>
  <si>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</si>
  <si>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</si>
  <si>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</si>
  <si>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</si>
  <si>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</si>
  <si>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</si>
  <si>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</si>
  <si>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</si>
  <si>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</si>
  <si>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</si>
  <si>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</si>
  <si>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</si>
  <si>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</si>
  <si>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</si>
  <si>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</si>
  <si>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</si>
  <si>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</si>
  <si>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</si>
  <si>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</si>
  <si>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</si>
  <si>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</si>
  <si>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</si>
  <si>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</si>
  <si>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</si>
  <si>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</si>
  <si>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</si>
  <si>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</si>
  <si>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</si>
  <si>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</si>
  <si>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</si>
  <si>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</si>
  <si>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</si>
  <si>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</si>
  <si>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</si>
  <si>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</si>
  <si>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</si>
  <si>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</si>
  <si>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</si>
  <si>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</si>
  <si>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</si>
  <si>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</si>
  <si>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</si>
  <si>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</si>
  <si>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</si>
  <si>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</si>
  <si>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</si>
  <si>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</si>
  <si>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</si>
  <si>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</si>
  <si>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</si>
  <si>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</si>
  <si>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</si>
  <si>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</si>
  <si>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</si>
  <si>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</si>
  <si>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</si>
  <si>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</si>
  <si>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</si>
  <si>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</si>
  <si>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</si>
  <si>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</si>
  <si>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</si>
  <si>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</si>
  <si>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</si>
  <si>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</si>
  <si>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</si>
  <si>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</si>
  <si>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</si>
  <si>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</si>
  <si>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</si>
  <si>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</si>
  <si>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</si>
  <si>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</si>
  <si>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</si>
  <si>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</si>
  <si>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</si>
  <si>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</si>
  <si>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</si>
  <si>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</si>
  <si>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</si>
  <si>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</si>
  <si>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</si>
  <si>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</si>
  <si>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</si>
  <si>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</si>
  <si>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</si>
  <si>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</si>
  <si>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</si>
  <si>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</si>
  <si>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</si>
  <si>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</si>
  <si>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</si>
  <si>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</si>
  <si>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</si>
  <si>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</si>
  <si>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</si>
  <si>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</si>
  <si>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</si>
  <si>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</si>
  <si>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</si>
  <si>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</si>
  <si>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</si>
  <si>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</si>
  <si>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</si>
  <si>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</si>
  <si>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</si>
  <si>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</si>
  <si>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</si>
  <si>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</si>
  <si>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</si>
  <si>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</si>
  <si>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</si>
  <si>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</si>
  <si>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</si>
  <si>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</si>
  <si>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</si>
  <si>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</si>
  <si>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</si>
  <si>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</si>
  <si>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</si>
  <si>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</si>
  <si>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</si>
  <si>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</si>
  <si>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</si>
  <si>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</si>
  <si>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</si>
  <si>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</si>
  <si>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</si>
  <si>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</si>
  <si>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</si>
  <si>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</si>
  <si>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</si>
  <si>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</si>
  <si>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</si>
  <si>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</si>
  <si>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</si>
  <si>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</si>
  <si>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</si>
  <si>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</si>
  <si>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</si>
  <si>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</si>
  <si>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</si>
  <si>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</si>
  <si>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</si>
  <si>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</si>
  <si>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</si>
  <si>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</si>
  <si>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</si>
  <si>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</si>
  <si>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</si>
  <si>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</si>
  <si>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</si>
  <si>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</si>
  <si>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</si>
  <si>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</si>
  <si>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</si>
  <si>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</si>
  <si>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</si>
  <si>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</si>
  <si>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</si>
  <si>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</si>
  <si>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</si>
  <si>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</si>
  <si>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</si>
  <si>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</si>
  <si>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</si>
  <si>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</si>
  <si>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</si>
  <si>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</si>
  <si>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</si>
  <si>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</si>
  <si>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</si>
  <si>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</si>
  <si>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</si>
  <si>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</si>
  <si>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</si>
  <si>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</si>
  <si>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</si>
  <si>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</si>
  <si>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</si>
  <si>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</si>
  <si>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</si>
  <si>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</si>
  <si>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</si>
  <si>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</si>
  <si>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</si>
  <si>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</si>
  <si>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</si>
  <si>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</si>
  <si>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</si>
  <si>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</si>
  <si>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</si>
  <si>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</si>
  <si>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</si>
  <si>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</si>
  <si>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</si>
  <si>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</si>
  <si>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</si>
  <si>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</si>
  <si>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</si>
  <si>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</si>
  <si>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</si>
  <si>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</si>
  <si>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</si>
  <si>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</si>
  <si>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</si>
  <si>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</si>
  <si>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</si>
  <si>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</si>
  <si>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</si>
  <si>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</si>
  <si>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</si>
  <si>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</si>
  <si>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</si>
  <si>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</si>
  <si>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</si>
  <si>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</si>
  <si>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</si>
  <si>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</si>
  <si>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</si>
  <si>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</si>
  <si>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</si>
  <si>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</si>
  <si>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</si>
  <si>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</si>
  <si>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</si>
  <si>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</si>
  <si>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</si>
  <si>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</si>
  <si>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</si>
  <si>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</si>
  <si>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</si>
  <si>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</si>
  <si>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</si>
  <si>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</si>
  <si>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</si>
  <si>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</si>
  <si>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</si>
  <si>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</si>
  <si>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</si>
  <si>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</si>
  <si>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</si>
  <si>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</si>
  <si>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</si>
  <si>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</si>
  <si>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</si>
  <si>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</si>
  <si>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</si>
  <si>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</si>
  <si>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</si>
  <si>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</si>
  <si>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</si>
  <si>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</si>
  <si>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</si>
  <si>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</si>
  <si>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</si>
  <si>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</si>
  <si>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</si>
  <si>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</si>
  <si>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</si>
  <si>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</si>
  <si>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</si>
  <si>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</si>
  <si>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</si>
  <si>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</si>
  <si>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</si>
  <si>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</si>
  <si>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</si>
  <si>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</si>
  <si>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</si>
  <si>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</si>
  <si>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</si>
  <si>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</si>
  <si>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</si>
  <si>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</si>
  <si>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</si>
  <si>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</si>
  <si>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</si>
  <si>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</si>
  <si>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</si>
  <si>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</si>
  <si>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</si>
  <si>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</si>
  <si>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</si>
  <si>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</si>
  <si>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</si>
  <si>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</si>
  <si>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</si>
  <si>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</si>
  <si>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</si>
  <si>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</si>
  <si>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</si>
  <si>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</si>
  <si>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</si>
  <si>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</si>
  <si>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</si>
  <si>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</si>
  <si>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</si>
  <si>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</si>
  <si>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</si>
  <si>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</si>
  <si>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</si>
  <si>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</si>
  <si>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</si>
  <si>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</si>
  <si>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</si>
  <si>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</si>
  <si>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</si>
  <si>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</si>
  <si>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</si>
  <si>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</si>
  <si>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</si>
  <si>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</si>
  <si>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</si>
  <si>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</si>
  <si>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</si>
  <si>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</si>
  <si>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</si>
  <si>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</si>
  <si>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</si>
  <si>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</si>
  <si>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</si>
  <si>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</si>
  <si>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</si>
  <si>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</si>
  <si>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</si>
  <si>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</si>
  <si>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</si>
  <si>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</si>
  <si>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</si>
  <si>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</si>
  <si>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</si>
  <si>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</si>
  <si>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</si>
  <si>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</si>
  <si>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</si>
  <si>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</si>
  <si>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</si>
  <si>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</si>
  <si>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</si>
  <si>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</si>
  <si>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</si>
  <si>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</si>
  <si>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</si>
  <si>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</si>
  <si>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</si>
  <si>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</si>
  <si>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</si>
  <si>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</si>
  <si>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</si>
  <si>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</si>
  <si>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</si>
  <si>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</si>
  <si>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</si>
  <si>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</si>
  <si>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</si>
  <si>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</si>
  <si>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</si>
  <si>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</si>
  <si>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</si>
  <si>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</si>
  <si>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</si>
  <si>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</si>
  <si>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</si>
  <si>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</si>
  <si>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</si>
  <si>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</si>
  <si>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</si>
  <si>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</si>
  <si>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</si>
  <si>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</si>
  <si>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</si>
  <si>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</si>
  <si>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</si>
  <si>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</si>
  <si>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</si>
  <si>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</si>
  <si>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</si>
  <si>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</si>
  <si>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</si>
  <si>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</si>
  <si>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</si>
  <si>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</si>
  <si>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</si>
  <si>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</si>
  <si>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</si>
  <si>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</si>
  <si>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</si>
  <si>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</si>
  <si>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</si>
  <si>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</si>
  <si>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</si>
  <si>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</si>
  <si>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</si>
  <si>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</si>
  <si>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</si>
  <si>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</si>
  <si>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</si>
  <si>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</si>
  <si>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</si>
  <si>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</si>
  <si>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</si>
  <si>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</si>
  <si>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</si>
  <si>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</si>
  <si>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</si>
  <si>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</si>
  <si>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</si>
  <si>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</si>
  <si>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</si>
  <si>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</si>
  <si>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</si>
  <si>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</si>
  <si>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</si>
  <si>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</si>
  <si>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</si>
  <si>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</si>
  <si>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</si>
  <si>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</si>
  <si>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</si>
  <si>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</si>
  <si>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</si>
  <si>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</si>
  <si>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</si>
  <si>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</si>
  <si>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</si>
  <si>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</si>
  <si>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</si>
  <si>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</si>
  <si>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</si>
  <si>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</si>
  <si>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</si>
  <si>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</si>
  <si>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</si>
  <si>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</si>
  <si>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</si>
  <si>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</si>
  <si>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</si>
  <si>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</si>
  <si>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</si>
  <si>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</si>
  <si>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</si>
  <si>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</si>
  <si>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</si>
  <si>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</si>
  <si>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</si>
  <si>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</si>
  <si>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</si>
  <si>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</si>
  <si>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</si>
  <si>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</si>
  <si>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</si>
  <si>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</si>
  <si>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</si>
  <si>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</si>
  <si>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</si>
  <si>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</si>
  <si>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</si>
  <si>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</si>
  <si>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</si>
  <si>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</si>
  <si>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</si>
  <si>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</si>
  <si>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</si>
  <si>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</si>
  <si>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</si>
  <si>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</si>
  <si>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</si>
  <si>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</si>
  <si>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</si>
  <si>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</si>
  <si>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</si>
  <si>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</si>
  <si>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</si>
  <si>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</si>
  <si>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</si>
  <si>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</si>
  <si>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</si>
  <si>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</si>
  <si>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</si>
  <si>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</si>
  <si>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</si>
  <si>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</si>
  <si>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</si>
  <si>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</si>
  <si>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</si>
  <si>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</si>
  <si>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</si>
  <si>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</si>
  <si>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</si>
  <si>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</si>
  <si>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</si>
  <si>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</si>
  <si>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</si>
  <si>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</si>
  <si>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</si>
  <si>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</si>
  <si>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</si>
  <si>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</si>
  <si>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</si>
  <si>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</si>
  <si>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</si>
  <si>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</si>
  <si>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</si>
  <si>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</si>
  <si>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</si>
  <si>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</si>
  <si>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</si>
  <si>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</si>
  <si>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</si>
  <si>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</si>
  <si>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</si>
  <si>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</si>
  <si>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</si>
  <si>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</si>
  <si>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</si>
  <si>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</si>
  <si>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</si>
  <si>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</si>
  <si>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</si>
  <si>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</si>
  <si>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</si>
  <si>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</si>
  <si>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</si>
  <si>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</si>
  <si>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</si>
  <si>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</si>
  <si>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</si>
  <si>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</si>
  <si>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</si>
  <si>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</si>
  <si>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</si>
  <si>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</si>
  <si>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</si>
  <si>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</si>
  <si>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</si>
  <si>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</si>
  <si>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</si>
  <si>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</si>
  <si>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</si>
  <si>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</si>
  <si>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</si>
  <si>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</si>
  <si>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</si>
  <si>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</si>
  <si>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</si>
  <si>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</si>
  <si>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</si>
  <si>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</si>
  <si>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</si>
  <si>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</si>
  <si>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</si>
  <si>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</si>
  <si>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</si>
  <si>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</si>
  <si>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</si>
  <si>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</si>
  <si>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</si>
  <si>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</si>
  <si>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</si>
  <si>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</si>
  <si>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</si>
  <si>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</si>
  <si>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</si>
  <si>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</si>
  <si>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</si>
  <si>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</si>
  <si>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</si>
  <si>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</si>
  <si>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</si>
  <si>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</si>
  <si>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</si>
  <si>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</si>
  <si>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</si>
  <si>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</si>
  <si>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</si>
  <si>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</si>
  <si>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</si>
  <si>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</si>
  <si>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</si>
  <si>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</si>
  <si>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</si>
  <si>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</si>
  <si>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</si>
  <si>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</si>
  <si>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</si>
  <si>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</si>
  <si>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</si>
  <si>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</si>
  <si>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</si>
  <si>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</si>
  <si>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</si>
  <si>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</si>
  <si>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</si>
  <si>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</si>
  <si>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</si>
  <si>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</si>
  <si>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Miltenberg</t>
  </si>
  <si>
    <t>Luitpoldstr. 17</t>
  </si>
  <si>
    <t>NCHN007009500000</t>
  </si>
  <si>
    <t>Freudenberg_Main-Boxtal</t>
  </si>
  <si>
    <t>DE_GHD04</t>
  </si>
  <si>
    <t>GMB Gasversorgung Miltenberg-Bürgstadt GmbH &amp; Co. KG</t>
  </si>
  <si>
    <t>EDM-Team</t>
  </si>
  <si>
    <t>edmsupport@cu-rz.de</t>
  </si>
  <si>
    <t>06021/45318-51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</si>
</sst>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64" borderId="0" xfId="0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F29" sqref="F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8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663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42">
        <v>9870095000005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63897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GMB Gasversorgung Miltenberg-Bürgstadt GmbH &amp; Co. KG</v>
      </c>
      <c r="E28" s="38"/>
      <c r="F28" s="11"/>
      <c r="G28" s="2"/>
    </row>
    <row r="29" spans="1:15">
      <c r="B29" s="15"/>
      <c r="C29" s="22" t="s">
        <v>397</v>
      </c>
      <c r="D29" s="45" t="s">
        <v>663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4" priority="2">
      <formula>IF(CELL("Zeile",D29)&lt;$D$25+CELL("Zeile",$D$29),1,0)</formula>
    </cfRule>
  </conditionalFormatting>
  <conditionalFormatting sqref="D30:D48">
    <cfRule type="expression" dxfId="5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GMB Gasversorgung Miltenberg-Bürgstadt GmbH &amp; Co. KG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GMB Gasversorgung Miltenberg-Bürgstadt GmbH &amp; Co. KG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>
        <f>Netzbetreiber!$D$11</f>
        <v>9870095000005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6" t="s">
        <v>257</v>
      </c>
      <c r="I11" s="276" t="s">
        <v>260</v>
      </c>
      <c r="J11" s="276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6" t="s">
        <v>623</v>
      </c>
      <c r="I13" s="276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1" t="s">
        <v>660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582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2" t="s">
        <v>616</v>
      </c>
      <c r="I22" s="272" t="s">
        <v>617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2" t="s">
        <v>619</v>
      </c>
      <c r="I23" s="8" t="s">
        <v>615</v>
      </c>
      <c r="J23" s="8"/>
      <c r="K23" s="8"/>
      <c r="L23" s="273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2" t="s">
        <v>618</v>
      </c>
      <c r="I24" s="272" t="s">
        <v>625</v>
      </c>
      <c r="J24" s="8"/>
      <c r="K24" s="8"/>
      <c r="L24" s="275" t="s">
        <v>626</v>
      </c>
      <c r="M24" s="275" t="s">
        <v>628</v>
      </c>
      <c r="N24" s="275" t="s">
        <v>627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629</v>
      </c>
      <c r="D27" s="42" t="s">
        <v>630</v>
      </c>
      <c r="E27" s="15"/>
      <c r="H27" s="308" t="s">
        <v>630</v>
      </c>
      <c r="I27" s="274" t="s">
        <v>631</v>
      </c>
      <c r="J27" s="274" t="s">
        <v>632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633</v>
      </c>
      <c r="I28" s="275" t="s">
        <v>634</v>
      </c>
      <c r="J28" s="275" t="s">
        <v>635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636</v>
      </c>
      <c r="I29" s="275" t="s">
        <v>637</v>
      </c>
      <c r="J29" s="275" t="s">
        <v>638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639</v>
      </c>
      <c r="I32" s="275" t="s">
        <v>640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641</v>
      </c>
      <c r="I33" s="272" t="s">
        <v>636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556</v>
      </c>
      <c r="C35" s="24" t="s">
        <v>500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661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sheetProtection sheet="1" objects="1" scenarios="1"/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GMB Gasversorgung Miltenberg-Bürgstadt GmbH &amp; Co. KG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1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 t="str">
        <f>INDEX('SLP-Verfahren'!D48:D62,'SLP-Temp-Gebiet #01'!F10)</f>
        <v>Freudenberg_Main-Boxtal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509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157" t="s">
        <v>661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>
        <v>3110646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Freudenberg_Main-Boxtal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>
        <f>E25</f>
        <v>3110646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26:N26 E56:N60 E22:F22 I22:N22 F52 F62 G24:N24 G70:N70 E34:N34 E69:N69 F25:N25 I32:N32 H33:N33 G36:N36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GMB Gasversorgung Miltenberg-Bürgstadt GmbH &amp; Co. KG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2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B10" sqref="B10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GMB Gasversorgung Miltenberg-Bürgstadt GmbH &amp; Co. KG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GMB Gasversorgung Miltenberg-Bürgstadt GmbH &amp; Co. KG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>
        <f>Netzbetreiber!$D$11</f>
        <v>9870095000005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7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5" t="s">
        <v>655</v>
      </c>
    </row>
    <row r="11" spans="2:26" ht="15.75" thickBot="1">
      <c r="B11" s="140" t="s">
        <v>501</v>
      </c>
      <c r="C11" s="141" t="s">
        <v>516</v>
      </c>
      <c r="D11" s="304" t="s">
        <v>248</v>
      </c>
      <c r="E11" s="340" t="s">
        <v>523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2">
        <v>1</v>
      </c>
      <c r="C12" s="143" t="str">
        <f t="shared" ref="C12:C15" si="0">$D$6</f>
        <v>GMB Gasversorgung Miltenberg-Bürgstadt GmbH &amp; Co. KG</v>
      </c>
      <c r="D12" s="63" t="s">
        <v>248</v>
      </c>
      <c r="E12" s="166" t="s">
        <v>56</v>
      </c>
      <c r="F12" s="307" t="str">
        <f>VLOOKUP($E12,'BDEW-Standard'!$B$3:$M$110,F$9,0)</f>
        <v>G14</v>
      </c>
      <c r="H12" s="278">
        <f>ROUND(VLOOKUP($E12,'BDEW-Standard'!$B$3:$M$110,H$9,0),7)</f>
        <v>3.159294</v>
      </c>
      <c r="I12" s="278">
        <f>ROUND(VLOOKUP($E12,'BDEW-Standard'!$B$3:$M$110,I$9,0),7)</f>
        <v>-37.406886</v>
      </c>
      <c r="J12" s="278">
        <f>ROUND(VLOOKUP($E12,'BDEW-Standard'!$B$3:$M$110,J$9,0),7)</f>
        <v>6.1418926000000003</v>
      </c>
      <c r="K12" s="278">
        <f>ROUND(VLOOKUP($E12,'BDEW-Standard'!$B$3:$M$110,K$9,0),7)</f>
        <v>7.6563300000000001E-2</v>
      </c>
      <c r="L12" s="279">
        <f>ROUND(VLOOKUP($E12,'BDEW-Standard'!$B$3:$M$110,L$9,0),1)</f>
        <v>40</v>
      </c>
      <c r="M12" s="278">
        <f>ROUND(VLOOKUP($E12,'BDEW-Standard'!$B$3:$M$110,M$9,0),7)</f>
        <v>0</v>
      </c>
      <c r="N12" s="278">
        <f>ROUND(VLOOKUP($E12,'BDEW-Standard'!$B$3:$M$110,N$9,0),7)</f>
        <v>0</v>
      </c>
      <c r="O12" s="278">
        <f>ROUND(VLOOKUP($E12,'BDEW-Standard'!$B$3:$M$110,O$9,0),7)</f>
        <v>0</v>
      </c>
      <c r="P12" s="278">
        <f>ROUND(VLOOKUP($E12,'BDEW-Standard'!$B$3:$M$110,P$9,0),7)</f>
        <v>0</v>
      </c>
      <c r="Q12" s="280">
        <f t="shared" ref="Q12:Q15" si="1">($H12/(1+($I12/($Q$9-$L12))^$J12)+$K12)+MAX($M12*$Q$9+$N12,$O12*$Q$9+$P12)</f>
        <v>0.95202070224521151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GMB Gasversorgung Miltenberg-Bürgstadt GmbH &amp; Co. KG</v>
      </c>
      <c r="D13" s="63" t="s">
        <v>248</v>
      </c>
      <c r="E13" s="166" t="s">
        <v>66</v>
      </c>
      <c r="F13" s="307" t="str">
        <f>VLOOKUP($E13,'BDEW-Standard'!$B$3:$M$110,F$9,0)</f>
        <v>G24</v>
      </c>
      <c r="H13" s="278">
        <f>ROUND(VLOOKUP($E13,'BDEW-Standard'!$B$3:$M$110,H$9,0),7)</f>
        <v>2.4859160999999999</v>
      </c>
      <c r="I13" s="278">
        <f>ROUND(VLOOKUP($E13,'BDEW-Standard'!$B$3:$M$110,I$9,0),7)</f>
        <v>-35.043597800000001</v>
      </c>
      <c r="J13" s="278">
        <f>ROUND(VLOOKUP($E13,'BDEW-Standard'!$B$3:$M$110,J$9,0),7)</f>
        <v>6.2818214000000001</v>
      </c>
      <c r="K13" s="278">
        <f>ROUND(VLOOKUP($E13,'BDEW-Standard'!$B$3:$M$110,K$9,0),7)</f>
        <v>0.1065396</v>
      </c>
      <c r="L13" s="279">
        <f>ROUND(VLOOKUP($E13,'BDEW-Standard'!$B$3:$M$110,L$9,0),1)</f>
        <v>40</v>
      </c>
      <c r="M13" s="278">
        <f>ROUND(VLOOKUP($E13,'BDEW-Standard'!$B$3:$M$110,M$9,0),7)</f>
        <v>0</v>
      </c>
      <c r="N13" s="278">
        <f>ROUND(VLOOKUP($E13,'BDEW-Standard'!$B$3:$M$110,N$9,0),7)</f>
        <v>0</v>
      </c>
      <c r="O13" s="278">
        <f>ROUND(VLOOKUP($E13,'BDEW-Standard'!$B$3:$M$110,O$9,0),7)</f>
        <v>0</v>
      </c>
      <c r="P13" s="278">
        <f>ROUND(VLOOKUP($E13,'BDEW-Standard'!$B$3:$M$110,P$9,0),7)</f>
        <v>0</v>
      </c>
      <c r="Q13" s="280">
        <f t="shared" si="1"/>
        <v>1.0041152127680664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5" si="2">7-SUM(R13:W13)</f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GMB Gasversorgung Miltenberg-Bürgstadt GmbH &amp; Co. KG</v>
      </c>
      <c r="D14" s="63" t="s">
        <v>248</v>
      </c>
      <c r="E14" s="166" t="s">
        <v>4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4" customFormat="1">
      <c r="B15" s="145">
        <v>4</v>
      </c>
      <c r="C15" s="146" t="str">
        <f t="shared" si="0"/>
        <v>GMB Gasversorgung Miltenberg-Bürgstadt GmbH &amp; Co. KG</v>
      </c>
      <c r="D15" s="63" t="s">
        <v>248</v>
      </c>
      <c r="E15" s="166" t="s">
        <v>662</v>
      </c>
      <c r="F15" s="307" t="str">
        <f>VLOOKUP($E15,'BDEW-Standard'!$B$3:$M$94,F$9,0)</f>
        <v>HD4</v>
      </c>
      <c r="H15" s="278">
        <f>ROUND(VLOOKUP($E15,'BDEW-Standard'!$B$3:$M$94,H$9,0),7)</f>
        <v>3.0084346000000002</v>
      </c>
      <c r="I15" s="278">
        <f>ROUND(VLOOKUP($E15,'BDEW-Standard'!$B$3:$M$94,I$9,0),7)</f>
        <v>-36.607845300000001</v>
      </c>
      <c r="J15" s="278">
        <f>ROUND(VLOOKUP($E15,'BDEW-Standard'!$B$3:$M$94,J$9,0),7)</f>
        <v>7.3211870000000001</v>
      </c>
      <c r="K15" s="278">
        <f>ROUND(VLOOKUP($E15,'BDEW-Standard'!$B$3:$M$94,K$9,0),7)</f>
        <v>0.15496599999999999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0.97302438504000599</v>
      </c>
      <c r="R15" s="281">
        <f>ROUND(VLOOKUP(MID($E15,4,3),'Wochentag F(WT)'!$B$7:$J$22,R$9,0),4)</f>
        <v>1.03</v>
      </c>
      <c r="S15" s="281">
        <f>ROUND(VLOOKUP(MID($E15,4,3),'Wochentag F(WT)'!$B$7:$J$22,S$9,0),4)</f>
        <v>1.03</v>
      </c>
      <c r="T15" s="281">
        <f>ROUND(VLOOKUP(MID($E15,4,3),'Wochentag F(WT)'!$B$7:$J$22,T$9,0),4)</f>
        <v>1.02</v>
      </c>
      <c r="U15" s="281">
        <f>ROUND(VLOOKUP(MID($E15,4,3),'Wochentag F(WT)'!$B$7:$J$22,U$9,0),4)</f>
        <v>1.03</v>
      </c>
      <c r="V15" s="281">
        <f>ROUND(VLOOKUP(MID($E15,4,3),'Wochentag F(WT)'!$B$7:$J$22,V$9,0),4)</f>
        <v>1.01</v>
      </c>
      <c r="W15" s="281">
        <f>ROUND(VLOOKUP(MID($E15,4,3),'Wochentag F(WT)'!$B$7:$J$22,W$9,0),4)</f>
        <v>0.93</v>
      </c>
      <c r="X15" s="282">
        <f t="shared" si="2"/>
        <v>0.95000000000000018</v>
      </c>
      <c r="Y15" s="303"/>
      <c r="Z15" s="212"/>
    </row>
    <row r="16" spans="2:26" s="144" customFormat="1">
      <c r="B16" s="145"/>
      <c r="C16" s="146"/>
      <c r="D16" s="63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4" customFormat="1">
      <c r="B17" s="145"/>
      <c r="C17" s="146"/>
      <c r="D17" s="63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4" customFormat="1">
      <c r="B18" s="145"/>
      <c r="C18" s="146"/>
      <c r="D18" s="63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4" customFormat="1">
      <c r="B19" s="145"/>
      <c r="C19" s="146"/>
      <c r="D19" s="63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4" customFormat="1">
      <c r="B20" s="145"/>
      <c r="C20" s="146"/>
      <c r="D20" s="63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4" customFormat="1">
      <c r="B21" s="145"/>
      <c r="C21" s="146"/>
      <c r="D21" s="63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4" customFormat="1">
      <c r="B22" s="145"/>
      <c r="C22" s="146"/>
      <c r="D22" s="63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4" customFormat="1">
      <c r="B23" s="145"/>
      <c r="C23" s="146"/>
      <c r="D23" s="63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4" customFormat="1">
      <c r="B24" s="145"/>
      <c r="C24" s="146"/>
      <c r="D24" s="63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4" customFormat="1">
      <c r="B25" s="145"/>
      <c r="C25" s="146"/>
      <c r="D25" s="63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4" customFormat="1">
      <c r="B26" s="145"/>
      <c r="C26" s="146"/>
      <c r="D26" s="339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4" customFormat="1">
      <c r="B27" s="145"/>
      <c r="C27" s="146"/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/>
      <c r="C28" s="146"/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/>
      <c r="C29" s="146"/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/>
      <c r="C30" s="146"/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/>
      <c r="C31" s="146"/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/>
      <c r="C32" s="146"/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/>
      <c r="C33" s="146"/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/>
      <c r="C34" s="146"/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/>
      <c r="C35" s="146"/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/>
      <c r="C36" s="146"/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/>
      <c r="C37" s="146"/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/>
      <c r="C38" s="146"/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/>
      <c r="C39" s="146"/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/>
      <c r="C40" s="146"/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/>
      <c r="C41" s="146"/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7" priority="9">
      <formula>ISERROR(F11)</formula>
    </cfRule>
  </conditionalFormatting>
  <conditionalFormatting sqref="E12:F41 Y12:Y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348</v>
      </c>
      <c r="B1" s="216">
        <v>42173</v>
      </c>
      <c r="D1" s="132" t="s">
        <v>458</v>
      </c>
      <c r="F1" s="217" t="s">
        <v>552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5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245</v>
      </c>
      <c r="B96" s="129" t="s">
        <v>55</v>
      </c>
      <c r="C96" s="129" t="s">
        <v>323</v>
      </c>
      <c r="D96" s="235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245</v>
      </c>
      <c r="B97" s="129" t="s">
        <v>60</v>
      </c>
      <c r="C97" s="129" t="s">
        <v>328</v>
      </c>
      <c r="D97" s="235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245</v>
      </c>
      <c r="B98" s="129" t="s">
        <v>65</v>
      </c>
      <c r="C98" s="129" t="s">
        <v>333</v>
      </c>
      <c r="D98" s="235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245</v>
      </c>
      <c r="B99" s="129" t="s">
        <v>18</v>
      </c>
      <c r="C99" s="129" t="s">
        <v>286</v>
      </c>
      <c r="D99" s="235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5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5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5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5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5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5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5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5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5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5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5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5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5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5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5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5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5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5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5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5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5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5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5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5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5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5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5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5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5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5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5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5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5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5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5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5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5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5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5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5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5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5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5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5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5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5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5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5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5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5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5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5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5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5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5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5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5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5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5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GMB Gasversorgung Miltenberg-Bürgstadt GmbH &amp; Co. KG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GMB Gasversorgung Miltenberg-Bürgstadt GmbH &amp; Co. KG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>
        <f>Netzbetreiber!$D$11</f>
        <v>9870095000005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9" t="s">
        <v>590</v>
      </c>
      <c r="C10" s="350"/>
      <c r="D10" s="95">
        <v>2</v>
      </c>
      <c r="E10" s="96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4">
        <f>MIN(SUMPRODUCT($M$11:$AD$11,M12:AD12),1)</f>
        <v>1</v>
      </c>
      <c r="F12" s="311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5">
        <f t="shared" ref="E13:E33" si="0">MIN(SUMPRODUCT($M$11:$AD$11,M13:AD13),1)</f>
        <v>1</v>
      </c>
      <c r="F13" s="312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5">
        <f t="shared" si="0"/>
        <v>0</v>
      </c>
      <c r="F14" s="312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5">
        <f t="shared" si="0"/>
        <v>0</v>
      </c>
      <c r="F15" s="312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5">
        <f t="shared" si="0"/>
        <v>1</v>
      </c>
      <c r="F16" s="312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5">
        <f t="shared" si="0"/>
        <v>1</v>
      </c>
      <c r="F17" s="312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5">
        <f t="shared" si="0"/>
        <v>1</v>
      </c>
      <c r="F18" s="312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5">
        <f t="shared" si="0"/>
        <v>1</v>
      </c>
      <c r="F19" s="312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5">
        <f t="shared" si="0"/>
        <v>1</v>
      </c>
      <c r="F20" s="312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5">
        <f t="shared" si="0"/>
        <v>1</v>
      </c>
      <c r="F21" s="312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5">
        <f t="shared" si="0"/>
        <v>1</v>
      </c>
      <c r="F22" s="312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5">
        <f t="shared" si="0"/>
        <v>1</v>
      </c>
      <c r="F23" s="312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5">
        <f t="shared" si="0"/>
        <v>0</v>
      </c>
      <c r="F24" s="312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5">
        <f t="shared" si="0"/>
        <v>1</v>
      </c>
      <c r="F25" s="312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5">
        <f t="shared" si="0"/>
        <v>1</v>
      </c>
      <c r="F26" s="312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5">
        <f t="shared" si="0"/>
        <v>0</v>
      </c>
      <c r="F27" s="312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5">
        <f t="shared" si="0"/>
        <v>1</v>
      </c>
      <c r="F28" s="312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5">
        <f t="shared" si="0"/>
        <v>0</v>
      </c>
      <c r="F29" s="312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5">
        <f t="shared" si="0"/>
        <v>0</v>
      </c>
      <c r="F30" s="312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5">
        <f t="shared" si="0"/>
        <v>1</v>
      </c>
      <c r="F31" s="312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5">
        <f t="shared" si="0"/>
        <v>1</v>
      </c>
      <c r="F32" s="312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6">
        <f t="shared" si="0"/>
        <v>0</v>
      </c>
      <c r="F33" s="313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459</v>
      </c>
      <c r="B1" s="129"/>
      <c r="D1" s="217" t="s">
        <v>552</v>
      </c>
    </row>
    <row r="2" spans="1:16">
      <c r="A2" s="237"/>
      <c r="B2" s="236" t="s">
        <v>460</v>
      </c>
    </row>
    <row r="3" spans="1:16" ht="20.100000000000001" customHeight="1">
      <c r="A3" s="351" t="s">
        <v>249</v>
      </c>
      <c r="B3" s="238" t="s">
        <v>86</v>
      </c>
      <c r="C3" s="239"/>
      <c r="D3" s="353" t="s">
        <v>461</v>
      </c>
      <c r="E3" s="354"/>
      <c r="F3" s="354"/>
      <c r="G3" s="354"/>
      <c r="H3" s="354"/>
      <c r="I3" s="354"/>
      <c r="J3" s="355"/>
      <c r="K3" s="240"/>
      <c r="L3" s="240"/>
      <c r="M3" s="240"/>
      <c r="N3" s="240"/>
      <c r="O3" s="241"/>
      <c r="P3" s="240"/>
    </row>
    <row r="4" spans="1:16" ht="20.100000000000001" customHeight="1">
      <c r="A4" s="352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Peter Luxa</cp:lastModifiedBy>
  <cp:lastPrinted>2015-03-20T22:59:10Z</cp:lastPrinted>
  <dcterms:created xsi:type="dcterms:W3CDTF">2015-01-15T05:25:41Z</dcterms:created>
  <dcterms:modified xsi:type="dcterms:W3CDTF">2015-07-20T14:10:40Z</dcterms:modified>
</cp:coreProperties>
</file>